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00" yWindow="1260" windowWidth="0" windowHeight="166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<sst xmlns="http://schemas.openxmlformats.org/spreadsheetml/2006/main" count="113" uniqueCount="104">
  <si>
    <t>Instructions</t>
  </si>
  <si>
    <t>brightness (AB mag)</t>
  </si>
  <si>
    <t>DECam u</t>
  </si>
  <si>
    <t>DECam g</t>
  </si>
  <si>
    <t>DECam r</t>
  </si>
  <si>
    <t>DECam i</t>
  </si>
  <si>
    <t>DECam z</t>
  </si>
  <si>
    <t>exposure time</t>
  </si>
  <si>
    <t>sec</t>
  </si>
  <si>
    <t>bandpass</t>
  </si>
  <si>
    <t>cwl</t>
  </si>
  <si>
    <t>CCD qe</t>
  </si>
  <si>
    <t>filter</t>
  </si>
  <si>
    <t>corrector optics</t>
  </si>
  <si>
    <t>vignetting</t>
  </si>
  <si>
    <t>atmosphere</t>
  </si>
  <si>
    <t>hc/lambda</t>
  </si>
  <si>
    <t>Hz</t>
  </si>
  <si>
    <t>joules/photon</t>
  </si>
  <si>
    <t>0 mag</t>
  </si>
  <si>
    <t>photon/sec/m^2</t>
  </si>
  <si>
    <t>telescope area</t>
  </si>
  <si>
    <t>photons</t>
  </si>
  <si>
    <t>electrons</t>
  </si>
  <si>
    <t>phot/sec/m^2/micron</t>
  </si>
  <si>
    <t>total throughput</t>
  </si>
  <si>
    <t>mag (AB) arcsec^-2</t>
  </si>
  <si>
    <t>joules/sec/m^2/micron/arcsec^2</t>
  </si>
  <si>
    <t>W/m^2/micron/sr</t>
  </si>
  <si>
    <t>W/cm^2/micron/sr</t>
  </si>
  <si>
    <t>Signal from 0 mag source</t>
  </si>
  <si>
    <t>Signal from 20 mag source</t>
  </si>
  <si>
    <t>sky signal</t>
  </si>
  <si>
    <t>seeing</t>
  </si>
  <si>
    <t>sky surface brightness</t>
  </si>
  <si>
    <t>average over "bandpass"</t>
  </si>
  <si>
    <t>nm; defined as wavelength difference of 90% transmission points of filter</t>
  </si>
  <si>
    <t>specify DES r seeing; guess at change in seeing with wavelength</t>
  </si>
  <si>
    <t>History</t>
  </si>
  <si>
    <t>December 10 2008</t>
  </si>
  <si>
    <t>Written by Daren DePoy</t>
  </si>
  <si>
    <t>January 26 2012</t>
  </si>
  <si>
    <t>QE, filter responses updated, prettified by Alistair Walker</t>
  </si>
  <si>
    <t>u</t>
  </si>
  <si>
    <t>g</t>
  </si>
  <si>
    <t>r</t>
  </si>
  <si>
    <t>i</t>
  </si>
  <si>
    <t>z</t>
  </si>
  <si>
    <t>Y</t>
  </si>
  <si>
    <t>Apr 8 2013</t>
  </si>
  <si>
    <t>(ii) Choose your lunar phase and enter the sky brightness magnitude - sorry we'll make this smoother soon</t>
  </si>
  <si>
    <t>(iii) Read on last line the S/N of that brightness in that exposure time, highlighted with BLUE background</t>
  </si>
  <si>
    <t>sky (see table below)</t>
  </si>
  <si>
    <t>MOON days from NEW</t>
  </si>
  <si>
    <t>(i) Change exposure time and/or object magnitude, high-lighted with YELLOW background</t>
  </si>
  <si>
    <t>PRELIMINARY SKY BRIGHTNESS TABLE FOR DECam - caveat &gt; 50 deg from the bright Moon</t>
  </si>
  <si>
    <t>mags(AB) per  arcsec^2</t>
  </si>
  <si>
    <t>Table of preliminary values of sky brightness as a function of lunar phase provided</t>
  </si>
  <si>
    <t>DECam Y</t>
  </si>
  <si>
    <t>Signal from specified source</t>
  </si>
  <si>
    <t>Readout noise e-/pix</t>
  </si>
  <si>
    <t>Number of reads</t>
  </si>
  <si>
    <t>Split exposures?  Only significant if RON dominates sky</t>
  </si>
  <si>
    <t>April 13 2013</t>
  </si>
  <si>
    <t>September 30 2013</t>
  </si>
  <si>
    <t>m^2.  Was incorrect (10.6 m2)</t>
  </si>
  <si>
    <t>telescope primary</t>
  </si>
  <si>
    <t>Added in Read noise, split exposures, correct u band throughput</t>
  </si>
  <si>
    <t>"-----------------------------------S/N in time entered in line 18--------------------------------------"</t>
  </si>
  <si>
    <t>aperture (=2.04*seeing)</t>
  </si>
  <si>
    <t xml:space="preserve">arcsec^2; assumes sech^2 PSF with FWHM = seeing - </t>
  </si>
  <si>
    <t>September  1 2014</t>
  </si>
  <si>
    <t>Ver 4: Corrected effective mirror area from 10.6 m2 to  9.7m2 and set vignetting to zero (factor 1.00, was 0.97)</t>
  </si>
  <si>
    <t>Ver 5:  Corrected the aperture used to follow the true profile (sech^2) rather than a guassian.  This changed the constant from 1.34 to 2.04</t>
  </si>
  <si>
    <t>Revised, from ESTRADA et al SPIE 7735, 2010</t>
  </si>
  <si>
    <t>Real measurements, not fresh aluminum</t>
  </si>
  <si>
    <t>March 1 2015</t>
  </si>
  <si>
    <t>nm; assume flat spectrum source and flat filter  U adjusted ver 6, effectively cwl ia around 375 nm</t>
  </si>
  <si>
    <t>Ver 6:  Revised QE from the definitive paper, and real-world relectivity of M1, u center wavelength changed to 375 nm from 355 nm</t>
  </si>
  <si>
    <t>RON squared per aperture</t>
  </si>
  <si>
    <t>electrons^2</t>
  </si>
  <si>
    <t>Feb 18 2015</t>
  </si>
  <si>
    <t>Ver 7.  Corrected error in signal/noise due to read noise, revised the value of the RON from 10 to 7 electrons rms</t>
  </si>
  <si>
    <t>DECam EXPOSURE TIME CALCULATOR (ETC) VER 7A</t>
  </si>
  <si>
    <t>electrons (photons?)</t>
  </si>
  <si>
    <t>m_arcsecs2</t>
  </si>
  <si>
    <t>sky (pixels)</t>
  </si>
  <si>
    <t>mag (AB) pixels^-2</t>
  </si>
  <si>
    <t>m_pix2</t>
  </si>
  <si>
    <t>R x t = R(0) x t x 10^((m_obj-0)/-2.5)</t>
  </si>
  <si>
    <t>R(0) x t [e-]  # before throughput</t>
  </si>
  <si>
    <t xml:space="preserve"> R(0)/sec/m^2</t>
  </si>
  <si>
    <t>R(0) x t  [e-]  # photons -&gt; e- ?</t>
  </si>
  <si>
    <t>R_sky x t x n_asec2 = R(0) x t x 10^((m_asec2-0)/-2.5) x aperture</t>
  </si>
  <si>
    <t>SN = R x t / [(R x t) + (R_sky x t x n_asec2) + RON^2]^0.5</t>
  </si>
  <si>
    <t>RN # e-/pix</t>
  </si>
  <si>
    <t>RON^2 = RN^2 x (aperture/SCALE^2) # e-^2</t>
  </si>
  <si>
    <t>r 23 (23.8 at 5sigma)</t>
  </si>
  <si>
    <t>i 22.4 (23.2 at 5sigma)</t>
  </si>
  <si>
    <t>z 21.9 (22.7 at 5sigma)</t>
  </si>
  <si>
    <t>The depth is set by AGN studies = 23? Or cluster m*+1(z=0.35)=22.2</t>
  </si>
  <si>
    <t>g 22.7 (m*+1.5)</t>
  </si>
  <si>
    <t>u 23</t>
  </si>
  <si>
    <t>Y 22 AGN (2.3mags Pan)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</si>
</sst>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1"/>
      <name val="Verdana"/>
      <family val="0"/>
    </font>
    <font>
      <sz val="8"/>
      <name val="Verdana"/>
      <family val="0"/>
    </font>
    <font>
      <b/>
      <sz val="20"/>
      <name val="Verdana"/>
      <family val="0"/>
    </font>
    <font>
      <sz val="14"/>
      <color indexed="16"/>
      <name val="Verdana"/>
      <family val="0"/>
    </font>
    <font>
      <b/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178" fontId="1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49" fontId="11" fillId="36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178" fontId="0" fillId="35" borderId="0" xfId="0" applyNumberFormat="1" applyFill="1" applyAlignment="1">
      <alignment horizontal="center"/>
    </xf>
    <xf numFmtId="0" fontId="1" fillId="35" borderId="0" xfId="0" applyFont="1" applyFill="1" applyAlignment="1">
      <alignment horizontal="center"/>
    </xf>
    <xf numFmtId="178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6" borderId="0" xfId="0" applyFont="1" applyFill="1" applyAlignment="1">
      <alignment/>
    </xf>
    <xf numFmtId="11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Font="1" applyAlignment="1">
      <alignment/>
    </xf>
    <xf numFmtId="178" fontId="1" fillId="35" borderId="0" xfId="0" applyNumberFormat="1" applyFont="1" applyFill="1" applyAlignment="1">
      <alignment horizontal="center"/>
    </xf>
    <xf numFmtId="178" fontId="37" fillId="29" borderId="1" xfId="45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9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="125" zoomScaleNormal="125" zoomScalePageLayoutView="0" workbookViewId="0" topLeftCell="A1">
      <selection activeCell="F29" sqref="F29"/>
    </sheetView>
  </sheetViews>
  <sheetFormatPr defaultColWidth="11.00390625" defaultRowHeight="12.75"/>
  <cols>
    <col min="1" max="1" width="21.25390625" style="0" customWidth="1"/>
    <col min="2" max="2" width="12.375" style="0" customWidth="1"/>
    <col min="3" max="3" width="12.875" style="0" bestFit="1" customWidth="1"/>
    <col min="4" max="6" width="12.00390625" style="0" bestFit="1" customWidth="1"/>
    <col min="7" max="7" width="16.125" style="0" customWidth="1"/>
    <col min="8" max="9" width="48.75390625" style="0" customWidth="1"/>
  </cols>
  <sheetData>
    <row r="1" spans="1:7" ht="5.25" customHeight="1">
      <c r="A1" s="35" t="s">
        <v>83</v>
      </c>
      <c r="B1" s="35"/>
      <c r="C1" s="35"/>
      <c r="D1" s="35"/>
      <c r="E1" s="35"/>
      <c r="F1" s="35"/>
      <c r="G1" s="35"/>
    </row>
    <row r="2" spans="1:7" ht="1.5" customHeight="1">
      <c r="A2" s="35"/>
      <c r="B2" s="35"/>
      <c r="C2" s="35"/>
      <c r="D2" s="35"/>
      <c r="E2" s="35"/>
      <c r="F2" s="35"/>
      <c r="G2" s="35"/>
    </row>
    <row r="3" spans="1:7" ht="21" customHeight="1">
      <c r="A3" s="35"/>
      <c r="B3" s="35"/>
      <c r="C3" s="35"/>
      <c r="D3" s="35"/>
      <c r="E3" s="35"/>
      <c r="F3" s="35"/>
      <c r="G3" s="35"/>
    </row>
    <row r="5" ht="12.75">
      <c r="A5" s="7" t="s">
        <v>38</v>
      </c>
    </row>
    <row r="6" spans="1:2" ht="12.75">
      <c r="A6" t="s">
        <v>39</v>
      </c>
      <c r="B6" t="s">
        <v>40</v>
      </c>
    </row>
    <row r="7" spans="1:2" ht="12.75">
      <c r="A7" t="s">
        <v>41</v>
      </c>
      <c r="B7" t="s">
        <v>42</v>
      </c>
    </row>
    <row r="8" spans="1:2" ht="12.75">
      <c r="A8" t="s">
        <v>49</v>
      </c>
      <c r="B8" t="s">
        <v>57</v>
      </c>
    </row>
    <row r="9" spans="1:2" ht="12.75">
      <c r="A9" t="s">
        <v>63</v>
      </c>
      <c r="B9" t="s">
        <v>67</v>
      </c>
    </row>
    <row r="10" spans="1:2" ht="12.75">
      <c r="A10" t="s">
        <v>64</v>
      </c>
      <c r="B10" t="s">
        <v>72</v>
      </c>
    </row>
    <row r="11" spans="1:2" ht="12.75">
      <c r="A11" t="s">
        <v>71</v>
      </c>
      <c r="B11" t="s">
        <v>73</v>
      </c>
    </row>
    <row r="12" spans="1:2" ht="12.75">
      <c r="A12" t="s">
        <v>76</v>
      </c>
      <c r="B12" t="s">
        <v>78</v>
      </c>
    </row>
    <row r="13" spans="1:2" ht="12.75">
      <c r="A13" t="s">
        <v>81</v>
      </c>
      <c r="B13" t="s">
        <v>82</v>
      </c>
    </row>
    <row r="15" ht="12.75">
      <c r="A15" s="7" t="s">
        <v>0</v>
      </c>
    </row>
    <row r="16" spans="1:7" ht="12.75">
      <c r="A16" s="31" t="s">
        <v>54</v>
      </c>
      <c r="B16" s="32"/>
      <c r="C16" s="32"/>
      <c r="D16" s="32"/>
      <c r="E16" s="32"/>
      <c r="F16" s="32"/>
      <c r="G16" s="32"/>
    </row>
    <row r="17" spans="1:7" ht="12.75">
      <c r="A17" s="15" t="s">
        <v>50</v>
      </c>
      <c r="B17" s="16"/>
      <c r="C17" s="16"/>
      <c r="D17" s="16"/>
      <c r="E17" s="16"/>
      <c r="F17" s="16"/>
      <c r="G17" s="16"/>
    </row>
    <row r="18" spans="1:7" ht="12.75">
      <c r="A18" s="33" t="s">
        <v>51</v>
      </c>
      <c r="B18" s="34"/>
      <c r="C18" s="34"/>
      <c r="D18" s="34"/>
      <c r="E18" s="34"/>
      <c r="F18" s="34"/>
      <c r="G18" s="34"/>
    </row>
    <row r="20" spans="1:7" s="2" customFormat="1" ht="12.75">
      <c r="A20" s="10" t="s">
        <v>12</v>
      </c>
      <c r="B20" s="11" t="s">
        <v>2</v>
      </c>
      <c r="C20" s="18" t="s">
        <v>3</v>
      </c>
      <c r="D20" s="11" t="s">
        <v>4</v>
      </c>
      <c r="E20" s="11" t="s">
        <v>5</v>
      </c>
      <c r="F20" s="11" t="s">
        <v>6</v>
      </c>
      <c r="G20" s="11" t="s">
        <v>58</v>
      </c>
    </row>
    <row r="21" spans="1:8" s="3" customFormat="1" ht="12.75">
      <c r="A21" s="9" t="s">
        <v>7</v>
      </c>
      <c r="B21" s="12">
        <v>180</v>
      </c>
      <c r="C21" s="12">
        <v>90</v>
      </c>
      <c r="D21" s="12">
        <v>160</v>
      </c>
      <c r="E21" s="12">
        <v>110</v>
      </c>
      <c r="F21" s="12">
        <v>140</v>
      </c>
      <c r="G21" s="12">
        <v>180</v>
      </c>
      <c r="H21" s="4" t="s">
        <v>8</v>
      </c>
    </row>
    <row r="22" spans="1:9" ht="12.75">
      <c r="A22" s="19" t="s">
        <v>52</v>
      </c>
      <c r="B22" s="28">
        <f>B67</f>
        <v>22.8</v>
      </c>
      <c r="C22" s="28">
        <f>C70</f>
        <v>20.4</v>
      </c>
      <c r="D22" s="28">
        <f>D70</f>
        <v>20.2</v>
      </c>
      <c r="E22" s="28">
        <f>E71</f>
        <v>19.4</v>
      </c>
      <c r="F22" s="28">
        <f>F71</f>
        <v>18.2</v>
      </c>
      <c r="G22" s="21">
        <v>17.7</v>
      </c>
      <c r="H22" t="s">
        <v>26</v>
      </c>
      <c r="I22" t="s">
        <v>85</v>
      </c>
    </row>
    <row r="23" spans="1:9" ht="12.75">
      <c r="A23" s="19" t="s">
        <v>86</v>
      </c>
      <c r="B23" s="28">
        <f aca="true" t="shared" si="0" ref="B23:G23">B22-2.5*LOG10(0.2627^2)</f>
        <v>25.70269963606965</v>
      </c>
      <c r="C23" s="28">
        <f t="shared" si="0"/>
        <v>23.302699636069647</v>
      </c>
      <c r="D23" s="28">
        <f t="shared" si="0"/>
        <v>23.102699636069648</v>
      </c>
      <c r="E23" s="28">
        <f t="shared" si="0"/>
        <v>22.302699636069647</v>
      </c>
      <c r="F23" s="28">
        <f t="shared" si="0"/>
        <v>21.102699636069648</v>
      </c>
      <c r="G23" s="28">
        <f t="shared" si="0"/>
        <v>20.602699636069648</v>
      </c>
      <c r="H23" t="s">
        <v>87</v>
      </c>
      <c r="I23" t="s">
        <v>88</v>
      </c>
    </row>
    <row r="24" spans="1:8" ht="12.75">
      <c r="A24" t="s">
        <v>9</v>
      </c>
      <c r="B24">
        <v>50</v>
      </c>
      <c r="C24">
        <v>147</v>
      </c>
      <c r="D24">
        <v>141</v>
      </c>
      <c r="E24">
        <v>147</v>
      </c>
      <c r="F24">
        <v>147</v>
      </c>
      <c r="G24">
        <v>50</v>
      </c>
      <c r="H24" t="s">
        <v>36</v>
      </c>
    </row>
    <row r="25" spans="1:8" ht="12.75">
      <c r="A25" t="s">
        <v>9</v>
      </c>
      <c r="B25" s="17">
        <f aca="true" t="shared" si="1" ref="B25:G25">((299792458000000000)/((B26-(B24/2)))-((299792458000000000)/(B26+(B24/2))))</f>
        <v>107068735000000</v>
      </c>
      <c r="C25">
        <f t="shared" si="1"/>
        <v>201414494177330.88</v>
      </c>
      <c r="D25">
        <f t="shared" si="1"/>
        <v>104965177541270.19</v>
      </c>
      <c r="E25">
        <f t="shared" si="1"/>
        <v>73942347668951.94</v>
      </c>
      <c r="F25">
        <f t="shared" si="1"/>
        <v>52115992031731.19</v>
      </c>
      <c r="G25">
        <f t="shared" si="1"/>
        <v>15150215180917.688</v>
      </c>
      <c r="H25" t="s">
        <v>17</v>
      </c>
    </row>
    <row r="26" spans="1:11" ht="12.75">
      <c r="A26" s="17" t="s">
        <v>10</v>
      </c>
      <c r="B26" s="24">
        <v>375</v>
      </c>
      <c r="C26" s="17">
        <v>473.5</v>
      </c>
      <c r="D26" s="17">
        <v>638.5</v>
      </c>
      <c r="E26" s="17">
        <v>775.5</v>
      </c>
      <c r="F26" s="17">
        <v>922.5</v>
      </c>
      <c r="G26" s="17">
        <v>995</v>
      </c>
      <c r="H26" s="23" t="s">
        <v>77</v>
      </c>
      <c r="I26" s="23"/>
      <c r="J26" s="23"/>
      <c r="K26" s="23"/>
    </row>
    <row r="27" spans="1:8" ht="12.75">
      <c r="A27" s="17" t="s">
        <v>16</v>
      </c>
      <c r="B27" s="25">
        <f aca="true" t="shared" si="2" ref="B27:G27">(6.626E-34)*(299800000000000000)/B26</f>
        <v>5.297266133333333E-19</v>
      </c>
      <c r="C27" s="25">
        <f t="shared" si="2"/>
        <v>4.1953005279831046E-19</v>
      </c>
      <c r="D27" s="25">
        <f t="shared" si="2"/>
        <v>3.111158653093187E-19</v>
      </c>
      <c r="E27" s="25">
        <f t="shared" si="2"/>
        <v>2.561540683430045E-19</v>
      </c>
      <c r="F27" s="25">
        <f t="shared" si="2"/>
        <v>2.153360216802168E-19</v>
      </c>
      <c r="G27" s="25">
        <f t="shared" si="2"/>
        <v>1.9964570854271355E-19</v>
      </c>
      <c r="H27" t="s">
        <v>18</v>
      </c>
    </row>
    <row r="28" spans="1:9" ht="12.75">
      <c r="A28" s="17" t="s">
        <v>19</v>
      </c>
      <c r="B28" s="25">
        <f aca="true" t="shared" si="3" ref="B28:G28">(3.631E-23)*(B25)/B27</f>
        <v>7339004063.599246</v>
      </c>
      <c r="C28" s="25">
        <f t="shared" si="3"/>
        <v>17432267926.45244</v>
      </c>
      <c r="D28" s="25">
        <f t="shared" si="3"/>
        <v>12250373643.704254</v>
      </c>
      <c r="E28" s="25">
        <f t="shared" si="3"/>
        <v>10481374202.749287</v>
      </c>
      <c r="F28" s="25">
        <f t="shared" si="3"/>
        <v>8787808263.135616</v>
      </c>
      <c r="G28" s="25">
        <f t="shared" si="3"/>
        <v>2755402644.1867056</v>
      </c>
      <c r="H28" t="s">
        <v>20</v>
      </c>
      <c r="I28" t="s">
        <v>91</v>
      </c>
    </row>
    <row r="29" spans="1:8" ht="12.75">
      <c r="A29" s="17" t="s">
        <v>19</v>
      </c>
      <c r="B29" s="25">
        <f aca="true" t="shared" si="4" ref="B29:G29">B28*1000/B24</f>
        <v>146780081271.98492</v>
      </c>
      <c r="C29" s="25">
        <f t="shared" si="4"/>
        <v>118586856642.53358</v>
      </c>
      <c r="D29" s="25">
        <f t="shared" si="4"/>
        <v>86882082579.4628</v>
      </c>
      <c r="E29" s="25">
        <f t="shared" si="4"/>
        <v>71301865324.82509</v>
      </c>
      <c r="F29" s="25">
        <f t="shared" si="4"/>
        <v>59781008592.75929</v>
      </c>
      <c r="G29" s="25">
        <f t="shared" si="4"/>
        <v>55108052883.73411</v>
      </c>
      <c r="H29" t="s">
        <v>24</v>
      </c>
    </row>
    <row r="30" spans="1:7" ht="12.75">
      <c r="A30" s="17"/>
      <c r="B30" s="25"/>
      <c r="C30" s="25"/>
      <c r="D30" s="25"/>
      <c r="E30" s="25"/>
      <c r="F30" s="25"/>
      <c r="G30" s="25"/>
    </row>
    <row r="31" spans="1:8" ht="12.75">
      <c r="A31" s="17" t="s">
        <v>34</v>
      </c>
      <c r="B31" s="25">
        <f aca="true" t="shared" si="5" ref="B31:G31">(10^(B22/(-2.5)))*B29*B27</f>
        <v>5.898192141399214E-17</v>
      </c>
      <c r="C31" s="25">
        <f t="shared" si="5"/>
        <v>3.441910983447857E-16</v>
      </c>
      <c r="D31" s="25">
        <f t="shared" si="5"/>
        <v>2.248290269867868E-16</v>
      </c>
      <c r="E31" s="25">
        <f t="shared" si="5"/>
        <v>3.1739651175267137E-16</v>
      </c>
      <c r="F31" s="25">
        <f t="shared" si="5"/>
        <v>6.755848830174583E-16</v>
      </c>
      <c r="G31" s="25">
        <f t="shared" si="5"/>
        <v>9.151136761259592E-16</v>
      </c>
      <c r="H31" t="s">
        <v>27</v>
      </c>
    </row>
    <row r="32" spans="1:8" ht="12.75">
      <c r="A32" s="17" t="s">
        <v>34</v>
      </c>
      <c r="B32" s="25">
        <f aca="true" t="shared" si="6" ref="B32:G32">B31*42545250225</f>
        <v>2.5094006053095813E-06</v>
      </c>
      <c r="C32" s="25">
        <f t="shared" si="6"/>
        <v>1.464369640429649E-05</v>
      </c>
      <c r="D32" s="25">
        <f t="shared" si="6"/>
        <v>9.565407210996121E-06</v>
      </c>
      <c r="E32" s="25">
        <f t="shared" si="6"/>
        <v>1.3503714013059556E-05</v>
      </c>
      <c r="F32" s="25">
        <f t="shared" si="6"/>
        <v>2.8742927896205117E-05</v>
      </c>
      <c r="G32" s="25">
        <f t="shared" si="6"/>
        <v>3.8933740335098545E-05</v>
      </c>
      <c r="H32" t="s">
        <v>28</v>
      </c>
    </row>
    <row r="33" spans="1:8" ht="12.75">
      <c r="A33" s="17" t="s">
        <v>34</v>
      </c>
      <c r="B33" s="25">
        <f aca="true" t="shared" si="7" ref="B33:G33">B32/10000</f>
        <v>2.509400605309581E-10</v>
      </c>
      <c r="C33" s="25">
        <f t="shared" si="7"/>
        <v>1.464369640429649E-09</v>
      </c>
      <c r="D33" s="25">
        <f t="shared" si="7"/>
        <v>9.565407210996121E-10</v>
      </c>
      <c r="E33" s="25">
        <f t="shared" si="7"/>
        <v>1.3503714013059556E-09</v>
      </c>
      <c r="F33" s="25">
        <f t="shared" si="7"/>
        <v>2.8742927896205117E-09</v>
      </c>
      <c r="G33" s="25">
        <f t="shared" si="7"/>
        <v>3.893374033509855E-09</v>
      </c>
      <c r="H33" t="s">
        <v>29</v>
      </c>
    </row>
    <row r="34" spans="1:7" ht="12.75">
      <c r="A34" s="17"/>
      <c r="B34" s="25"/>
      <c r="C34" s="25"/>
      <c r="D34" s="25"/>
      <c r="E34" s="25"/>
      <c r="F34" s="25"/>
      <c r="G34" s="25"/>
    </row>
    <row r="35" spans="1:8" ht="12.75">
      <c r="A35" s="17" t="s">
        <v>21</v>
      </c>
      <c r="B35" s="26">
        <v>9.7</v>
      </c>
      <c r="C35" s="26">
        <v>9.7</v>
      </c>
      <c r="D35" s="26">
        <v>9.7</v>
      </c>
      <c r="E35" s="26">
        <v>9.7</v>
      </c>
      <c r="F35" s="26">
        <v>9.7</v>
      </c>
      <c r="G35" s="26">
        <v>9.7</v>
      </c>
      <c r="H35" s="17" t="s">
        <v>65</v>
      </c>
    </row>
    <row r="36" spans="1:7" ht="12.75">
      <c r="A36" s="17"/>
      <c r="B36" s="17"/>
      <c r="C36" s="17"/>
      <c r="D36" s="17"/>
      <c r="E36" s="17"/>
      <c r="F36" s="17"/>
      <c r="G36" s="17"/>
    </row>
    <row r="37" spans="1:9" ht="12.75">
      <c r="A37" s="17" t="s">
        <v>19</v>
      </c>
      <c r="B37" s="25">
        <f aca="true" t="shared" si="8" ref="B37:G37">B28*B35*B21</f>
        <v>12813901095044.281</v>
      </c>
      <c r="C37" s="25">
        <f t="shared" si="8"/>
        <v>15218369899792.979</v>
      </c>
      <c r="D37" s="25">
        <f t="shared" si="8"/>
        <v>19012579895029</v>
      </c>
      <c r="E37" s="25">
        <f t="shared" si="8"/>
        <v>11183626274333.488</v>
      </c>
      <c r="F37" s="25">
        <f t="shared" si="8"/>
        <v>11933843621338.166</v>
      </c>
      <c r="G37" s="25">
        <f t="shared" si="8"/>
        <v>4810933016749.987</v>
      </c>
      <c r="H37" t="s">
        <v>22</v>
      </c>
      <c r="I37" t="s">
        <v>90</v>
      </c>
    </row>
    <row r="38" spans="1:7" ht="12.75">
      <c r="A38" s="17"/>
      <c r="B38" s="17"/>
      <c r="C38" s="17"/>
      <c r="D38" s="17"/>
      <c r="E38" s="17"/>
      <c r="F38" s="17"/>
      <c r="G38" s="17"/>
    </row>
    <row r="39" spans="1:8" ht="12.75">
      <c r="A39" s="17" t="s">
        <v>11</v>
      </c>
      <c r="B39" s="17">
        <v>0.25</v>
      </c>
      <c r="C39" s="17">
        <v>0.59</v>
      </c>
      <c r="D39" s="17">
        <v>0.75</v>
      </c>
      <c r="E39" s="17">
        <v>0.85</v>
      </c>
      <c r="F39" s="17">
        <v>0.85</v>
      </c>
      <c r="G39" s="17">
        <v>0.5</v>
      </c>
      <c r="H39" s="23" t="s">
        <v>74</v>
      </c>
    </row>
    <row r="40" spans="1:8" ht="12.75">
      <c r="A40" s="17" t="s">
        <v>12</v>
      </c>
      <c r="B40" s="17">
        <v>0.95</v>
      </c>
      <c r="C40" s="17">
        <v>0.9</v>
      </c>
      <c r="D40" s="17">
        <v>0.9</v>
      </c>
      <c r="E40" s="17">
        <v>0.9</v>
      </c>
      <c r="F40" s="17">
        <v>0.9</v>
      </c>
      <c r="G40" s="17">
        <v>0.9</v>
      </c>
      <c r="H40" t="s">
        <v>35</v>
      </c>
    </row>
    <row r="41" spans="1:7" ht="12.75">
      <c r="A41" s="17" t="s">
        <v>13</v>
      </c>
      <c r="B41" s="17">
        <v>0.75</v>
      </c>
      <c r="C41" s="17">
        <v>0.86</v>
      </c>
      <c r="D41" s="17">
        <v>0.86</v>
      </c>
      <c r="E41" s="17">
        <v>0.86</v>
      </c>
      <c r="F41" s="17">
        <v>0.86</v>
      </c>
      <c r="G41" s="17">
        <v>0.75</v>
      </c>
    </row>
    <row r="42" spans="1:8" ht="12.75">
      <c r="A42" s="17" t="s">
        <v>66</v>
      </c>
      <c r="B42" s="17">
        <v>0.89</v>
      </c>
      <c r="C42" s="17">
        <v>0.89</v>
      </c>
      <c r="D42" s="17">
        <v>0.88</v>
      </c>
      <c r="E42" s="17">
        <v>0.87</v>
      </c>
      <c r="F42" s="17">
        <v>0.88</v>
      </c>
      <c r="G42" s="17">
        <v>0.9</v>
      </c>
      <c r="H42" s="23" t="s">
        <v>75</v>
      </c>
    </row>
    <row r="43" spans="1:7" ht="12.75">
      <c r="A43" s="17" t="s">
        <v>14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>
        <v>1</v>
      </c>
    </row>
    <row r="44" spans="1:7" ht="12.75">
      <c r="A44" s="17" t="s">
        <v>15</v>
      </c>
      <c r="B44" s="17">
        <v>0.7</v>
      </c>
      <c r="C44" s="17">
        <v>0.8</v>
      </c>
      <c r="D44" s="17">
        <v>0.9</v>
      </c>
      <c r="E44" s="17">
        <v>0.9</v>
      </c>
      <c r="F44" s="17">
        <v>0.9</v>
      </c>
      <c r="G44" s="17">
        <v>0.95</v>
      </c>
    </row>
    <row r="45" spans="1:7" s="2" customFormat="1" ht="12.75">
      <c r="A45" s="2" t="s">
        <v>25</v>
      </c>
      <c r="B45" s="13">
        <f aca="true" t="shared" si="9" ref="B45:G45">B39*B40*B41*B42*B43*B44</f>
        <v>0.11097187499999998</v>
      </c>
      <c r="C45" s="13">
        <f t="shared" si="9"/>
        <v>0.32514192000000003</v>
      </c>
      <c r="D45" s="13">
        <f t="shared" si="9"/>
        <v>0.45975600000000005</v>
      </c>
      <c r="E45" s="13">
        <f t="shared" si="9"/>
        <v>0.5151357000000001</v>
      </c>
      <c r="F45" s="13">
        <f t="shared" si="9"/>
        <v>0.5210568</v>
      </c>
      <c r="G45" s="13">
        <f t="shared" si="9"/>
        <v>0.2885625</v>
      </c>
    </row>
    <row r="47" spans="1:9" s="4" customFormat="1" ht="12.75">
      <c r="A47" s="4" t="s">
        <v>30</v>
      </c>
      <c r="B47" s="5">
        <f aca="true" t="shared" si="10" ref="B47:G47">B37*B45</f>
        <v>1421982630581.617</v>
      </c>
      <c r="C47" s="5">
        <f t="shared" si="10"/>
        <v>4948130008488.897</v>
      </c>
      <c r="D47" s="5">
        <f t="shared" si="10"/>
        <v>8741147682218.954</v>
      </c>
      <c r="E47" s="5">
        <f t="shared" si="10"/>
        <v>5761085149367.175</v>
      </c>
      <c r="F47" s="5">
        <f t="shared" si="10"/>
        <v>6218210369034.876</v>
      </c>
      <c r="G47" s="5">
        <f t="shared" si="10"/>
        <v>1388254858645.9182</v>
      </c>
      <c r="H47" s="27" t="s">
        <v>84</v>
      </c>
      <c r="I47" s="27" t="s">
        <v>92</v>
      </c>
    </row>
    <row r="48" spans="1:8" ht="12.75">
      <c r="A48" t="s">
        <v>31</v>
      </c>
      <c r="B48" s="8">
        <f aca="true" t="shared" si="11" ref="B48:G48">B47*(10^(20/-2.5))</f>
        <v>14219.82630581617</v>
      </c>
      <c r="C48" s="8">
        <f t="shared" si="11"/>
        <v>49481.30008488898</v>
      </c>
      <c r="D48" s="8">
        <f t="shared" si="11"/>
        <v>87411.47682218954</v>
      </c>
      <c r="E48" s="8">
        <f t="shared" si="11"/>
        <v>57610.85149367175</v>
      </c>
      <c r="F48" s="8">
        <f t="shared" si="11"/>
        <v>62182.10369034876</v>
      </c>
      <c r="G48" s="8">
        <f t="shared" si="11"/>
        <v>13882.548586459183</v>
      </c>
      <c r="H48" t="s">
        <v>23</v>
      </c>
    </row>
    <row r="49" spans="1:9" ht="12.75">
      <c r="A49" t="s">
        <v>59</v>
      </c>
      <c r="B49" s="8">
        <f aca="true" t="shared" si="12" ref="B49:G49">B47*(10^(+$A$58/-2.5))</f>
        <v>3257.5740111970435</v>
      </c>
      <c r="C49" s="8">
        <f t="shared" si="12"/>
        <v>11335.510978136712</v>
      </c>
      <c r="D49" s="8">
        <f t="shared" si="12"/>
        <v>20024.812473261343</v>
      </c>
      <c r="E49" s="8">
        <f t="shared" si="12"/>
        <v>13197.88361352602</v>
      </c>
      <c r="F49" s="8">
        <f t="shared" si="12"/>
        <v>14245.096992527117</v>
      </c>
      <c r="G49" s="8">
        <f t="shared" si="12"/>
        <v>3180.308149469623</v>
      </c>
      <c r="H49" t="s">
        <v>23</v>
      </c>
      <c r="I49" t="s">
        <v>89</v>
      </c>
    </row>
    <row r="50" spans="1:8" ht="12.75">
      <c r="A50" t="s">
        <v>33</v>
      </c>
      <c r="B50" s="6">
        <f>0.2+(C50)*((C26/B26)^0.2)</f>
        <v>1.4235412397464102</v>
      </c>
      <c r="C50" s="6">
        <f>(D50)*((D26/C26)^0.2)</f>
        <v>1.1677795584311872</v>
      </c>
      <c r="D50" s="6">
        <v>1.1</v>
      </c>
      <c r="E50" s="6">
        <f>D50*((D26/E26)^0.2)</f>
        <v>1.0580556363287072</v>
      </c>
      <c r="F50" s="6">
        <f>E50*((E26/F26)^0.2)</f>
        <v>1.0219545709986653</v>
      </c>
      <c r="G50" s="6">
        <f>F50*((F26/G26)^0.2)</f>
        <v>1.0066077026403797</v>
      </c>
      <c r="H50" t="s">
        <v>37</v>
      </c>
    </row>
    <row r="51" spans="1:8" ht="12.75">
      <c r="A51" s="23" t="s">
        <v>69</v>
      </c>
      <c r="B51" s="6">
        <f aca="true" t="shared" si="13" ref="B51:G51">3.14159*((2.04*B50)/2)^2</f>
        <v>6.623536830767664</v>
      </c>
      <c r="C51" s="6">
        <f t="shared" si="13"/>
        <v>4.457297142764129</v>
      </c>
      <c r="D51" s="6">
        <f t="shared" si="13"/>
        <v>3.9548973855600007</v>
      </c>
      <c r="E51" s="6">
        <f t="shared" si="13"/>
        <v>3.6590374921045448</v>
      </c>
      <c r="F51" s="6">
        <f t="shared" si="13"/>
        <v>3.4136031484251497</v>
      </c>
      <c r="G51" s="6">
        <f t="shared" si="13"/>
        <v>3.311847632258152</v>
      </c>
      <c r="H51" s="23" t="s">
        <v>70</v>
      </c>
    </row>
    <row r="52" spans="1:9" ht="12.75">
      <c r="A52" t="s">
        <v>32</v>
      </c>
      <c r="B52" s="1">
        <f>B47*(10^(B23/-2.5))*(B51/(0.264^2))</f>
        <v>7074.512837043287</v>
      </c>
      <c r="C52" s="1">
        <f>C47*(10^(C22/-2.5))*C51</f>
        <v>152585.2975353042</v>
      </c>
      <c r="D52" s="1">
        <f>(10^(D22/-2.5))*D51*D47</f>
        <v>287543.58126049547</v>
      </c>
      <c r="E52" s="1">
        <f>(10^(E22/-2.5))*E51*E47</f>
        <v>366328.87620363693</v>
      </c>
      <c r="F52" s="1">
        <f>(10^(F22/-2.5))*F51*F47</f>
        <v>1113982.6863498087</v>
      </c>
      <c r="G52" s="1">
        <f>(10^(G22/-2.5))*G51*G47</f>
        <v>382419.0780492005</v>
      </c>
      <c r="H52" t="s">
        <v>23</v>
      </c>
      <c r="I52" t="s">
        <v>93</v>
      </c>
    </row>
    <row r="53" spans="1:9" ht="12.75">
      <c r="A53" t="s">
        <v>60</v>
      </c>
      <c r="B53" s="22">
        <v>7</v>
      </c>
      <c r="C53" s="22">
        <v>7</v>
      </c>
      <c r="D53" s="22">
        <v>7</v>
      </c>
      <c r="E53" s="22">
        <v>7</v>
      </c>
      <c r="F53" s="22">
        <v>7</v>
      </c>
      <c r="G53" s="22">
        <v>7</v>
      </c>
      <c r="H53" t="s">
        <v>23</v>
      </c>
      <c r="I53" t="s">
        <v>95</v>
      </c>
    </row>
    <row r="54" spans="1:9" ht="12.75">
      <c r="A54" t="s">
        <v>79</v>
      </c>
      <c r="B54" s="22">
        <f aca="true" t="shared" si="14" ref="B54:G54">+B53^2*(B51/(0.264^2))</f>
        <v>4656.699160749763</v>
      </c>
      <c r="C54" s="22">
        <f t="shared" si="14"/>
        <v>3133.717286435983</v>
      </c>
      <c r="D54" s="22">
        <f t="shared" si="14"/>
        <v>2780.503499375</v>
      </c>
      <c r="E54" s="22">
        <f t="shared" si="14"/>
        <v>2572.4982368159244</v>
      </c>
      <c r="F54" s="22">
        <f t="shared" si="14"/>
        <v>2399.944821407718</v>
      </c>
      <c r="G54" s="22">
        <f t="shared" si="14"/>
        <v>2328.405274056609</v>
      </c>
      <c r="H54" t="s">
        <v>80</v>
      </c>
      <c r="I54" t="s">
        <v>96</v>
      </c>
    </row>
    <row r="55" spans="1:8" ht="12.75">
      <c r="A55" t="s">
        <v>61</v>
      </c>
      <c r="B55" s="8">
        <v>1</v>
      </c>
      <c r="C55" s="8">
        <v>1</v>
      </c>
      <c r="D55" s="8">
        <v>1</v>
      </c>
      <c r="E55" s="8">
        <v>1</v>
      </c>
      <c r="F55" s="8">
        <v>1</v>
      </c>
      <c r="G55" s="8">
        <v>1</v>
      </c>
      <c r="H55" t="s">
        <v>62</v>
      </c>
    </row>
    <row r="56" spans="2:7" ht="12.75">
      <c r="B56" s="1"/>
      <c r="C56" s="1"/>
      <c r="D56" s="1"/>
      <c r="E56" s="1"/>
      <c r="F56" s="1"/>
      <c r="G56" s="1"/>
    </row>
    <row r="57" spans="1:7" ht="12.75">
      <c r="A57" s="7" t="s">
        <v>1</v>
      </c>
      <c r="B57" s="30" t="s">
        <v>68</v>
      </c>
      <c r="C57" s="30"/>
      <c r="D57" s="30"/>
      <c r="E57" s="30"/>
      <c r="F57" s="30"/>
      <c r="G57" s="30"/>
    </row>
    <row r="58" spans="1:9" ht="18">
      <c r="A58" s="12">
        <v>21.6</v>
      </c>
      <c r="B58" s="14">
        <f aca="true" t="shared" si="15" ref="B58:G58">(B49)/(B49+B52+B55*B54)^0.5</f>
        <v>26.607928317853418</v>
      </c>
      <c r="C58" s="14">
        <f t="shared" si="15"/>
        <v>27.73396600696983</v>
      </c>
      <c r="D58" s="14">
        <f t="shared" si="15"/>
        <v>35.945402786051005</v>
      </c>
      <c r="E58" s="14">
        <f t="shared" si="15"/>
        <v>21.35090051714346</v>
      </c>
      <c r="F58" s="14">
        <f t="shared" si="15"/>
        <v>13.396939451685336</v>
      </c>
      <c r="G58" s="14">
        <f t="shared" si="15"/>
        <v>5.106152192684956</v>
      </c>
      <c r="I58" t="s">
        <v>94</v>
      </c>
    </row>
    <row r="59" ht="12.75">
      <c r="A59" t="s">
        <v>102</v>
      </c>
    </row>
    <row r="60" spans="1:8" ht="12.75">
      <c r="A60" t="s">
        <v>101</v>
      </c>
      <c r="H60" t="s">
        <v>100</v>
      </c>
    </row>
    <row r="61" ht="12.75">
      <c r="A61" t="s">
        <v>97</v>
      </c>
    </row>
    <row r="62" ht="12.75">
      <c r="A62" t="s">
        <v>98</v>
      </c>
    </row>
    <row r="63" spans="1:7" ht="12.75">
      <c r="A63" t="s">
        <v>99</v>
      </c>
      <c r="B63" s="7" t="s">
        <v>55</v>
      </c>
      <c r="C63" s="7"/>
      <c r="D63" s="7"/>
      <c r="E63" s="7"/>
      <c r="F63" s="7"/>
      <c r="G63" s="7"/>
    </row>
    <row r="64" ht="12.75">
      <c r="A64">
        <f>2.5*LOG10(2)</f>
        <v>0.752574989159953</v>
      </c>
    </row>
    <row r="65" ht="12.75">
      <c r="A65" t="s">
        <v>103</v>
      </c>
    </row>
    <row r="66" spans="1:7" ht="12.75">
      <c r="A66" s="19" t="s">
        <v>53</v>
      </c>
      <c r="B66" s="21" t="s">
        <v>43</v>
      </c>
      <c r="C66" s="21" t="s">
        <v>44</v>
      </c>
      <c r="D66" s="21" t="s">
        <v>45</v>
      </c>
      <c r="E66" s="21" t="s">
        <v>46</v>
      </c>
      <c r="F66" s="21" t="s">
        <v>47</v>
      </c>
      <c r="G66" s="21" t="s">
        <v>48</v>
      </c>
    </row>
    <row r="67" spans="1:7" ht="15.75">
      <c r="A67" s="19">
        <v>0</v>
      </c>
      <c r="B67" s="29">
        <v>22.8</v>
      </c>
      <c r="C67" s="20">
        <v>22.05</v>
      </c>
      <c r="D67" s="20">
        <v>21.05</v>
      </c>
      <c r="E67" s="20">
        <v>20.1</v>
      </c>
      <c r="F67" s="20">
        <v>18.7</v>
      </c>
      <c r="G67" s="20">
        <v>18</v>
      </c>
    </row>
    <row r="68" spans="1:7" ht="12.75">
      <c r="A68" s="19">
        <v>3</v>
      </c>
      <c r="B68" s="20">
        <v>22.3</v>
      </c>
      <c r="C68" s="20">
        <v>21.8</v>
      </c>
      <c r="D68" s="20">
        <v>20.9</v>
      </c>
      <c r="E68" s="20">
        <v>20.1</v>
      </c>
      <c r="F68" s="20">
        <v>18.7</v>
      </c>
      <c r="G68" s="20">
        <v>18</v>
      </c>
    </row>
    <row r="69" spans="1:7" ht="12.75">
      <c r="A69" s="19">
        <v>7</v>
      </c>
      <c r="B69" s="20">
        <v>20.7</v>
      </c>
      <c r="C69" s="20">
        <v>21.2</v>
      </c>
      <c r="D69" s="20">
        <v>20.6</v>
      </c>
      <c r="E69" s="20">
        <v>19.9</v>
      </c>
      <c r="F69" s="20">
        <v>18.6</v>
      </c>
      <c r="G69" s="20">
        <v>18</v>
      </c>
    </row>
    <row r="70" spans="1:7" ht="15.75">
      <c r="A70" s="19">
        <v>10</v>
      </c>
      <c r="B70" s="20">
        <v>19.2</v>
      </c>
      <c r="C70" s="29">
        <v>20.4</v>
      </c>
      <c r="D70" s="29">
        <v>20.2</v>
      </c>
      <c r="E70" s="20">
        <v>19.7</v>
      </c>
      <c r="F70" s="20">
        <v>18.5</v>
      </c>
      <c r="G70" s="20">
        <v>17.9</v>
      </c>
    </row>
    <row r="71" spans="1:7" ht="15.75">
      <c r="A71" s="19">
        <v>14</v>
      </c>
      <c r="B71" s="20">
        <v>17.7</v>
      </c>
      <c r="C71" s="20">
        <v>19.4</v>
      </c>
      <c r="D71" s="20">
        <v>19.7</v>
      </c>
      <c r="E71" s="29">
        <v>19.4</v>
      </c>
      <c r="F71" s="29">
        <v>18.2</v>
      </c>
      <c r="G71" s="29">
        <v>17.7</v>
      </c>
    </row>
    <row r="73" ht="12.75">
      <c r="B73" t="s">
        <v>56</v>
      </c>
    </row>
  </sheetData>
  <sheetProtection/>
  <mergeCells count="4">
    <mergeCell ref="A1:G3"/>
    <mergeCell ref="B57:G57"/>
    <mergeCell ref="A16:G16"/>
    <mergeCell ref="A18:G1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DePoy</dc:creator>
  <cp:keywords/>
  <dc:description/>
  <cp:lastModifiedBy>YURY TATIANA REYES SIERRA</cp:lastModifiedBy>
  <dcterms:created xsi:type="dcterms:W3CDTF">2007-12-06T17:34:06Z</dcterms:created>
  <dcterms:modified xsi:type="dcterms:W3CDTF">2021-04-14T15:47:02Z</dcterms:modified>
  <cp:category/>
  <cp:version/>
  <cp:contentType/>
  <cp:contentStatus/>
</cp:coreProperties>
</file>