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180" windowWidth="25720" windowHeight="147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<sst xmlns="http://schemas.openxmlformats.org/spreadsheetml/2006/main" count="100" uniqueCount="89">
  <si>
    <t>Instructions</t>
  </si>
  <si>
    <t>brightness (AB mag)</t>
  </si>
  <si>
    <t>DECam u</t>
  </si>
  <si>
    <t>DECam g</t>
  </si>
  <si>
    <t>DECam r</t>
  </si>
  <si>
    <t>DECam i</t>
  </si>
  <si>
    <t>DECam z</t>
  </si>
  <si>
    <t>exposure time</t>
  </si>
  <si>
    <t>sec</t>
  </si>
  <si>
    <t>bandpass</t>
  </si>
  <si>
    <t>cwl</t>
  </si>
  <si>
    <t>CCD qe</t>
  </si>
  <si>
    <t>filter</t>
  </si>
  <si>
    <t>corrector optics</t>
  </si>
  <si>
    <t>vignetting</t>
  </si>
  <si>
    <t>atmosphere</t>
  </si>
  <si>
    <t>hc/lambda</t>
  </si>
  <si>
    <t>Hz</t>
  </si>
  <si>
    <t>joules/photon</t>
  </si>
  <si>
    <t>0 mag</t>
  </si>
  <si>
    <t>photon/sec/m^2</t>
  </si>
  <si>
    <t>telescope area</t>
  </si>
  <si>
    <t>photons</t>
  </si>
  <si>
    <t>electrons</t>
  </si>
  <si>
    <t>phot/sec/m^2/micron</t>
  </si>
  <si>
    <t>total throughput</t>
  </si>
  <si>
    <t>mag (AB) arcsec^-2</t>
  </si>
  <si>
    <t>joules/sec/m^2/micron/arcsec^2</t>
  </si>
  <si>
    <t>W/m^2/micron/sr</t>
  </si>
  <si>
    <t>W/cm^2/micron/sr</t>
  </si>
  <si>
    <t>Signal from 0 mag source</t>
  </si>
  <si>
    <t>Signal from 20 mag source</t>
  </si>
  <si>
    <t>sky signal</t>
  </si>
  <si>
    <t>seeing</t>
  </si>
  <si>
    <t>sky surface brightness</t>
  </si>
  <si>
    <t>average over "bandpass"</t>
  </si>
  <si>
    <t>nm; defined as wavelength difference of 90% transmission points of filter</t>
  </si>
  <si>
    <t>specify DES r seeing; guess at change in seeing with wavelength</t>
  </si>
  <si>
    <t>History</t>
  </si>
  <si>
    <t>December 10 2008</t>
  </si>
  <si>
    <t>Written by Daren DePoy</t>
  </si>
  <si>
    <t>January 26 2012</t>
  </si>
  <si>
    <t>QE, filter responses updated, prettified by Alistair Walker</t>
  </si>
  <si>
    <t>u</t>
  </si>
  <si>
    <t>g</t>
  </si>
  <si>
    <t>r</t>
  </si>
  <si>
    <t>i</t>
  </si>
  <si>
    <t>z</t>
  </si>
  <si>
    <t>Y</t>
  </si>
  <si>
    <t>Apr 8 2013</t>
  </si>
  <si>
    <t>(iii) Read on last line the S/N of that brightness in that exposure time, highlighted with BLUE background</t>
  </si>
  <si>
    <t>MOON days from NEW</t>
  </si>
  <si>
    <t>(i) Change exposure time and/or object magnitude, high-lighted with YELLOW background</t>
  </si>
  <si>
    <t>PRELIMINARY SKY BRIGHTNESS TABLE FOR DECam - caveat &gt; 50 deg from the bright Moon</t>
  </si>
  <si>
    <t>mags(AB) per  arcsec^2</t>
  </si>
  <si>
    <t>Table of preliminary values of sky brightness as a function of lunar phase provided</t>
  </si>
  <si>
    <t>DECam Y</t>
  </si>
  <si>
    <t>Signal from specified source</t>
  </si>
  <si>
    <t xml:space="preserve"> </t>
  </si>
  <si>
    <t>Readout noise e-/pix</t>
  </si>
  <si>
    <t>Number of reads</t>
  </si>
  <si>
    <t>Split exposures?  Only significant if RON dominates sky</t>
  </si>
  <si>
    <t>April 13 2013</t>
  </si>
  <si>
    <t>September 30 2013</t>
  </si>
  <si>
    <t>m^2.  Was incorrect (10.6 m2)</t>
  </si>
  <si>
    <t>telescope primary</t>
  </si>
  <si>
    <t>Added in Read noise, split exposures, correct u band throughput</t>
  </si>
  <si>
    <t>aperture (=2.04*seeing)</t>
  </si>
  <si>
    <t xml:space="preserve">arcsec^2; assumes sech^2 PSF with FWHM = seeing - </t>
  </si>
  <si>
    <t>September  1 2014</t>
  </si>
  <si>
    <t>Ver 4: Corrected effective mirror area from 10.6 m2 to  9.7m2 and set vignetting to zero (factor 1.00, was 0.97)</t>
  </si>
  <si>
    <t>Ver 5:  Corrected the aperture used to follow the true profile (sech^2) rather than a guassian.  This changed the constant from 1.34 to 2.04</t>
  </si>
  <si>
    <t>Real measurements, not fresh aluminum</t>
  </si>
  <si>
    <t>Ver 6:  Revised QE from the definitive paper, and real-world relectivity of M1</t>
  </si>
  <si>
    <t>March 1 2015</t>
  </si>
  <si>
    <t>March 4 2014</t>
  </si>
  <si>
    <t>Added single cell lunar phase selection and sky brightness interpolation (RCS)</t>
  </si>
  <si>
    <t>Sky brightness mag</t>
  </si>
  <si>
    <t xml:space="preserve">Moon phase = </t>
  </si>
  <si>
    <t>(number between 0 and 14, inclusive)</t>
  </si>
  <si>
    <t>nm; assume flat spectrum source and flat filter  U revised, effectively cwl ia around 375 nm</t>
  </si>
  <si>
    <t>March 8 2016</t>
  </si>
  <si>
    <t>Ver 7.  Corrected error in signal/noise due to read noise, revised the value of the RON from 10 to 7 electrons rms.  Units revised.</t>
  </si>
  <si>
    <t>DECam EXPOSURE TIME CALCULATOR (ETC) VER 7B</t>
  </si>
  <si>
    <t>elecrons/photon Revised, from ESTRADA et al SPIE 7735, 2010</t>
  </si>
  <si>
    <t>electrons/photon</t>
  </si>
  <si>
    <t>"-----------------------------------S/N in time entered in line 24--------------------------------------"</t>
  </si>
  <si>
    <t>(ii) Choose your lunar phase in days (0 = New Moon, 14 = Full Moon)</t>
  </si>
  <si>
    <t>RON squared per aperture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</si>
</sst>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1"/>
      <name val="Verdana"/>
      <family val="0"/>
    </font>
    <font>
      <sz val="8"/>
      <name val="Verdana"/>
      <family val="0"/>
    </font>
    <font>
      <b/>
      <sz val="20"/>
      <name val="Verdana"/>
      <family val="0"/>
    </font>
    <font>
      <sz val="14"/>
      <color indexed="16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164" fontId="1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49" fontId="11" fillId="36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164" fontId="0" fillId="35" borderId="0" xfId="0" applyNumberFormat="1" applyFill="1" applyAlignment="1">
      <alignment horizontal="center"/>
    </xf>
    <xf numFmtId="0" fontId="1" fillId="35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125" zoomScaleNormal="125" workbookViewId="0" topLeftCell="A39">
      <selection activeCell="A61" sqref="A61"/>
    </sheetView>
  </sheetViews>
  <sheetFormatPr defaultColWidth="11.00390625" defaultRowHeight="12.75"/>
  <cols>
    <col min="1" max="1" width="21.25390625" style="0" customWidth="1"/>
    <col min="2" max="2" width="12.375" style="0" customWidth="1"/>
    <col min="3" max="3" width="12.875" style="0" bestFit="1" customWidth="1"/>
    <col min="4" max="6" width="12.00390625" style="0" bestFit="1" customWidth="1"/>
    <col min="7" max="7" width="12.00390625" style="0" customWidth="1"/>
    <col min="8" max="8" width="42.25390625" style="0" customWidth="1"/>
  </cols>
  <sheetData>
    <row r="1" spans="1:7" ht="12.75">
      <c r="A1" s="28" t="s">
        <v>83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spans="1:7" ht="12.75">
      <c r="A3" s="28"/>
      <c r="B3" s="28"/>
      <c r="C3" s="28"/>
      <c r="D3" s="28"/>
      <c r="E3" s="28"/>
      <c r="F3" s="28"/>
      <c r="G3" s="28"/>
    </row>
    <row r="5" ht="12.75">
      <c r="A5" s="7" t="s">
        <v>38</v>
      </c>
    </row>
    <row r="6" spans="1:2" ht="12.75">
      <c r="A6" t="s">
        <v>39</v>
      </c>
      <c r="B6" t="s">
        <v>40</v>
      </c>
    </row>
    <row r="7" spans="1:2" ht="12.75">
      <c r="A7" t="s">
        <v>41</v>
      </c>
      <c r="B7" t="s">
        <v>42</v>
      </c>
    </row>
    <row r="8" spans="1:2" ht="12.75">
      <c r="A8" t="s">
        <v>49</v>
      </c>
      <c r="B8" t="s">
        <v>55</v>
      </c>
    </row>
    <row r="9" spans="1:2" ht="12.75">
      <c r="A9" t="s">
        <v>62</v>
      </c>
      <c r="B9" t="s">
        <v>66</v>
      </c>
    </row>
    <row r="10" spans="1:2" ht="12.75">
      <c r="A10" t="s">
        <v>63</v>
      </c>
      <c r="B10" t="s">
        <v>70</v>
      </c>
    </row>
    <row r="11" spans="1:2" ht="12.75">
      <c r="A11" t="s">
        <v>75</v>
      </c>
      <c r="B11" t="s">
        <v>76</v>
      </c>
    </row>
    <row r="12" spans="1:2" ht="12.75">
      <c r="A12" t="s">
        <v>69</v>
      </c>
      <c r="B12" t="s">
        <v>71</v>
      </c>
    </row>
    <row r="13" spans="1:2" ht="12.75">
      <c r="A13" t="s">
        <v>74</v>
      </c>
      <c r="B13" t="s">
        <v>73</v>
      </c>
    </row>
    <row r="14" spans="1:2" ht="12.75">
      <c r="A14" t="s">
        <v>81</v>
      </c>
      <c r="B14" t="s">
        <v>82</v>
      </c>
    </row>
    <row r="16" ht="12.75">
      <c r="A16" s="7" t="s">
        <v>0</v>
      </c>
    </row>
    <row r="17" spans="1:7" ht="12.75">
      <c r="A17" s="30" t="s">
        <v>52</v>
      </c>
      <c r="B17" s="31"/>
      <c r="C17" s="31"/>
      <c r="D17" s="31"/>
      <c r="E17" s="31"/>
      <c r="F17" s="31"/>
      <c r="G17" s="31"/>
    </row>
    <row r="18" spans="1:7" ht="12.75">
      <c r="A18" s="15" t="s">
        <v>87</v>
      </c>
      <c r="B18" s="16"/>
      <c r="C18" s="16"/>
      <c r="D18" s="16"/>
      <c r="E18" s="16"/>
      <c r="F18" s="16"/>
      <c r="G18" s="16"/>
    </row>
    <row r="19" spans="1:7" ht="12.75">
      <c r="A19" s="32" t="s">
        <v>50</v>
      </c>
      <c r="B19" s="33"/>
      <c r="C19" s="33"/>
      <c r="D19" s="33"/>
      <c r="E19" s="33"/>
      <c r="F19" s="33"/>
      <c r="G19" s="33"/>
    </row>
    <row r="20" spans="1:7" ht="12.75">
      <c r="A20" s="24"/>
      <c r="B20" s="25"/>
      <c r="C20" s="25"/>
      <c r="D20" s="25"/>
      <c r="E20" s="25"/>
      <c r="F20" s="25"/>
      <c r="G20" s="25"/>
    </row>
    <row r="21" spans="1:7" ht="12.75">
      <c r="A21" s="26" t="s">
        <v>78</v>
      </c>
      <c r="B21" s="26">
        <v>0</v>
      </c>
      <c r="C21" s="26" t="s">
        <v>79</v>
      </c>
      <c r="D21" s="16"/>
      <c r="E21" s="16"/>
      <c r="F21" s="25"/>
      <c r="G21" s="25"/>
    </row>
    <row r="23" spans="1:7" s="2" customFormat="1" ht="12.75">
      <c r="A23" s="10" t="s">
        <v>12</v>
      </c>
      <c r="B23" s="11" t="s">
        <v>2</v>
      </c>
      <c r="C23" s="18" t="s">
        <v>3</v>
      </c>
      <c r="D23" s="11" t="s">
        <v>4</v>
      </c>
      <c r="E23" s="11" t="s">
        <v>5</v>
      </c>
      <c r="F23" s="11" t="s">
        <v>6</v>
      </c>
      <c r="G23" s="11" t="s">
        <v>56</v>
      </c>
    </row>
    <row r="24" spans="1:8" s="3" customFormat="1" ht="12.75">
      <c r="A24" s="9" t="s">
        <v>7</v>
      </c>
      <c r="B24" s="12">
        <v>20</v>
      </c>
      <c r="C24" s="12">
        <v>20</v>
      </c>
      <c r="D24" s="12">
        <v>20</v>
      </c>
      <c r="E24" s="12">
        <v>20</v>
      </c>
      <c r="F24" s="12">
        <v>20</v>
      </c>
      <c r="G24" s="12">
        <v>20</v>
      </c>
      <c r="H24" s="4" t="s">
        <v>8</v>
      </c>
    </row>
    <row r="25" spans="1:8" ht="12.75">
      <c r="A25" s="19" t="s">
        <v>77</v>
      </c>
      <c r="B25" s="21">
        <f aca="true" ca="1" t="shared" si="0" ref="B25:G25">IF($B$21=MAX($A$69:$A$73),INDEX(B$69:B$73,MATCH($B$21,$A$69:$A$73)),TREND(OFFSET(B$69:B$73,MATCH($B$21,$A$69:$A$73),0,-2),OFFSET($A$69:$A$73,MATCH($B$21,$A$69:$A$73),0,-2),$B$21))</f>
        <v>22.8</v>
      </c>
      <c r="C25" s="21">
        <f ca="1" t="shared" si="0"/>
        <v>22.05</v>
      </c>
      <c r="D25" s="21">
        <f ca="1" t="shared" si="0"/>
        <v>21.050000000000004</v>
      </c>
      <c r="E25" s="21">
        <f ca="1" t="shared" si="0"/>
        <v>20.1</v>
      </c>
      <c r="F25" s="21">
        <f ca="1" t="shared" si="0"/>
        <v>18.7</v>
      </c>
      <c r="G25" s="21">
        <f ca="1" t="shared" si="0"/>
        <v>18</v>
      </c>
      <c r="H25" t="s">
        <v>26</v>
      </c>
    </row>
    <row r="26" spans="1:8" ht="12.75">
      <c r="A26" t="s">
        <v>9</v>
      </c>
      <c r="B26">
        <v>50</v>
      </c>
      <c r="C26">
        <v>147</v>
      </c>
      <c r="D26">
        <v>141</v>
      </c>
      <c r="E26">
        <v>147</v>
      </c>
      <c r="F26">
        <v>147</v>
      </c>
      <c r="G26">
        <v>50</v>
      </c>
      <c r="H26" t="s">
        <v>36</v>
      </c>
    </row>
    <row r="27" spans="1:8" ht="12.75">
      <c r="A27" t="s">
        <v>9</v>
      </c>
      <c r="B27" s="17">
        <f aca="true" t="shared" si="1" ref="B27:G27">((299792458000000000)/((B28-(B26/2)))-((299792458000000000)/(B28+(B26/2))))</f>
        <v>107068735000000</v>
      </c>
      <c r="C27">
        <f t="shared" si="1"/>
        <v>201414494177330.88</v>
      </c>
      <c r="D27">
        <f t="shared" si="1"/>
        <v>104965177541270.19</v>
      </c>
      <c r="E27">
        <f t="shared" si="1"/>
        <v>73942347668951.94</v>
      </c>
      <c r="F27">
        <f t="shared" si="1"/>
        <v>52115992031731.19</v>
      </c>
      <c r="G27">
        <f t="shared" si="1"/>
        <v>15150215180917.688</v>
      </c>
      <c r="H27" t="s">
        <v>17</v>
      </c>
    </row>
    <row r="28" spans="1:11" ht="12.75">
      <c r="A28" t="s">
        <v>10</v>
      </c>
      <c r="B28" s="27">
        <v>375</v>
      </c>
      <c r="C28">
        <v>473.5</v>
      </c>
      <c r="D28">
        <v>638.5</v>
      </c>
      <c r="E28">
        <v>775.5</v>
      </c>
      <c r="F28">
        <v>922.5</v>
      </c>
      <c r="G28">
        <v>995</v>
      </c>
      <c r="H28" s="17" t="s">
        <v>80</v>
      </c>
      <c r="I28" s="17"/>
      <c r="J28" s="23"/>
      <c r="K28" s="23"/>
    </row>
    <row r="29" spans="1:8" ht="12.75">
      <c r="A29" t="s">
        <v>16</v>
      </c>
      <c r="B29" s="1">
        <f aca="true" t="shared" si="2" ref="B29:G29">(6.626E-34)*(299800000000000000)/B28</f>
        <v>5.297266133333333E-19</v>
      </c>
      <c r="C29" s="1">
        <f t="shared" si="2"/>
        <v>4.1953005279831046E-19</v>
      </c>
      <c r="D29" s="1">
        <f t="shared" si="2"/>
        <v>3.111158653093187E-19</v>
      </c>
      <c r="E29" s="1">
        <f t="shared" si="2"/>
        <v>2.561540683430045E-19</v>
      </c>
      <c r="F29" s="1">
        <f t="shared" si="2"/>
        <v>2.153360216802168E-19</v>
      </c>
      <c r="G29" s="1">
        <f t="shared" si="2"/>
        <v>1.9964570854271355E-19</v>
      </c>
      <c r="H29" t="s">
        <v>18</v>
      </c>
    </row>
    <row r="30" spans="1:8" ht="12.75">
      <c r="A30" t="s">
        <v>19</v>
      </c>
      <c r="B30" s="1">
        <f aca="true" t="shared" si="3" ref="B30:G30">(3.631E-23)*(B27)/B29</f>
        <v>7339004063.599246</v>
      </c>
      <c r="C30" s="1">
        <f t="shared" si="3"/>
        <v>17432267926.45244</v>
      </c>
      <c r="D30" s="1">
        <f t="shared" si="3"/>
        <v>12250373643.704254</v>
      </c>
      <c r="E30" s="1">
        <f t="shared" si="3"/>
        <v>10481374202.749287</v>
      </c>
      <c r="F30" s="1">
        <f t="shared" si="3"/>
        <v>8787808263.135616</v>
      </c>
      <c r="G30" s="1">
        <f t="shared" si="3"/>
        <v>2755402644.1867056</v>
      </c>
      <c r="H30" t="s">
        <v>20</v>
      </c>
    </row>
    <row r="31" spans="1:8" ht="12.75">
      <c r="A31" t="s">
        <v>19</v>
      </c>
      <c r="B31" s="1">
        <f aca="true" t="shared" si="4" ref="B31:G31">B30*1000/B26</f>
        <v>146780081271.98492</v>
      </c>
      <c r="C31" s="1">
        <f t="shared" si="4"/>
        <v>118586856642.53358</v>
      </c>
      <c r="D31" s="1">
        <f t="shared" si="4"/>
        <v>86882082579.4628</v>
      </c>
      <c r="E31" s="1">
        <f t="shared" si="4"/>
        <v>71301865324.82509</v>
      </c>
      <c r="F31" s="1">
        <f t="shared" si="4"/>
        <v>59781008592.75929</v>
      </c>
      <c r="G31" s="1">
        <f t="shared" si="4"/>
        <v>55108052883.73411</v>
      </c>
      <c r="H31" t="s">
        <v>24</v>
      </c>
    </row>
    <row r="32" spans="2:7" ht="12.75">
      <c r="B32" s="1"/>
      <c r="C32" s="1"/>
      <c r="D32" s="1"/>
      <c r="E32" s="1"/>
      <c r="F32" s="1"/>
      <c r="G32" s="1"/>
    </row>
    <row r="33" spans="1:8" ht="12.75">
      <c r="A33" t="s">
        <v>34</v>
      </c>
      <c r="B33" s="1">
        <f aca="true" t="shared" si="5" ref="B33:G33">(10^(B25/(-2.5)))*B31*B29</f>
        <v>5.898192141399214E-17</v>
      </c>
      <c r="C33" s="1">
        <f t="shared" si="5"/>
        <v>7.530080762637705E-17</v>
      </c>
      <c r="D33" s="1">
        <f t="shared" si="5"/>
        <v>1.0276669291826383E-16</v>
      </c>
      <c r="E33" s="1">
        <f t="shared" si="5"/>
        <v>1.665720572250558E-16</v>
      </c>
      <c r="F33" s="1">
        <f t="shared" si="5"/>
        <v>4.2626524375965826E-16</v>
      </c>
      <c r="G33" s="1">
        <f t="shared" si="5"/>
        <v>6.941847133116728E-16</v>
      </c>
      <c r="H33" t="s">
        <v>27</v>
      </c>
    </row>
    <row r="34" spans="1:8" ht="12.75">
      <c r="A34" t="s">
        <v>34</v>
      </c>
      <c r="B34" s="1">
        <f aca="true" t="shared" si="6" ref="B34:G34">B33*42545250225</f>
        <v>2.5094006053095813E-06</v>
      </c>
      <c r="C34" s="1">
        <f t="shared" si="6"/>
        <v>3.2036917026088E-06</v>
      </c>
      <c r="D34" s="1">
        <f t="shared" si="6"/>
        <v>4.3722346650032705E-06</v>
      </c>
      <c r="E34" s="1">
        <f t="shared" si="6"/>
        <v>7.086849855133019E-06</v>
      </c>
      <c r="F34" s="1">
        <f t="shared" si="6"/>
        <v>1.813556145797528E-05</v>
      </c>
      <c r="G34" s="1">
        <f t="shared" si="6"/>
        <v>2.9534262330215007E-05</v>
      </c>
      <c r="H34" t="s">
        <v>28</v>
      </c>
    </row>
    <row r="35" spans="1:8" ht="12.75">
      <c r="A35" t="s">
        <v>34</v>
      </c>
      <c r="B35" s="1">
        <f aca="true" t="shared" si="7" ref="B35:G35">B34/10000</f>
        <v>2.509400605309581E-10</v>
      </c>
      <c r="C35" s="1">
        <f t="shared" si="7"/>
        <v>3.2036917026087997E-10</v>
      </c>
      <c r="D35" s="1">
        <f t="shared" si="7"/>
        <v>4.3722346650032706E-10</v>
      </c>
      <c r="E35" s="1">
        <f t="shared" si="7"/>
        <v>7.086849855133018E-10</v>
      </c>
      <c r="F35" s="1">
        <f t="shared" si="7"/>
        <v>1.813556145797528E-09</v>
      </c>
      <c r="G35" s="1">
        <f t="shared" si="7"/>
        <v>2.9534262330215007E-09</v>
      </c>
      <c r="H35" t="s">
        <v>29</v>
      </c>
    </row>
    <row r="36" spans="2:7" ht="12.75">
      <c r="B36" s="1"/>
      <c r="C36" s="1"/>
      <c r="D36" s="1"/>
      <c r="E36" s="1"/>
      <c r="F36" s="1"/>
      <c r="G36" s="1"/>
    </row>
    <row r="37" spans="1:8" ht="12.75">
      <c r="A37" t="s">
        <v>21</v>
      </c>
      <c r="B37" s="6">
        <v>9.7</v>
      </c>
      <c r="C37" s="6">
        <v>9.7</v>
      </c>
      <c r="D37" s="6">
        <v>9.7</v>
      </c>
      <c r="E37" s="6">
        <v>9.7</v>
      </c>
      <c r="F37" s="6">
        <v>9.7</v>
      </c>
      <c r="G37" s="6">
        <v>9.7</v>
      </c>
      <c r="H37" s="17" t="s">
        <v>64</v>
      </c>
    </row>
    <row r="39" spans="1:8" ht="12.75">
      <c r="A39" t="s">
        <v>19</v>
      </c>
      <c r="B39" s="1">
        <f aca="true" t="shared" si="8" ref="B39:G39">B30*B37*B24</f>
        <v>1423766788338.2534</v>
      </c>
      <c r="C39" s="1">
        <f t="shared" si="8"/>
        <v>3381859977731.773</v>
      </c>
      <c r="D39" s="1">
        <f t="shared" si="8"/>
        <v>2376572486878.625</v>
      </c>
      <c r="E39" s="1">
        <f t="shared" si="8"/>
        <v>2033386595333.3616</v>
      </c>
      <c r="F39" s="1">
        <f t="shared" si="8"/>
        <v>1704834803048.3093</v>
      </c>
      <c r="G39" s="1">
        <f t="shared" si="8"/>
        <v>534548112972.2208</v>
      </c>
      <c r="H39" t="s">
        <v>22</v>
      </c>
    </row>
    <row r="40" ht="12.75">
      <c r="G40" s="17"/>
    </row>
    <row r="41" spans="1:8" ht="12.75">
      <c r="A41" t="s">
        <v>11</v>
      </c>
      <c r="B41" s="17">
        <v>0.25</v>
      </c>
      <c r="C41" s="17">
        <v>0.59</v>
      </c>
      <c r="D41" s="17">
        <v>0.75</v>
      </c>
      <c r="E41" s="17">
        <v>0.85</v>
      </c>
      <c r="F41" s="17">
        <v>0.85</v>
      </c>
      <c r="G41" s="17">
        <v>0.5</v>
      </c>
      <c r="H41" s="17" t="s">
        <v>84</v>
      </c>
    </row>
    <row r="42" spans="1:8" ht="12.75">
      <c r="A42" t="s">
        <v>12</v>
      </c>
      <c r="B42" s="17">
        <v>0.95</v>
      </c>
      <c r="C42" s="17">
        <v>0.9</v>
      </c>
      <c r="D42" s="17">
        <v>0.9</v>
      </c>
      <c r="E42" s="17">
        <v>0.9</v>
      </c>
      <c r="F42" s="17">
        <v>0.9</v>
      </c>
      <c r="G42" s="17">
        <v>0.9</v>
      </c>
      <c r="H42" t="s">
        <v>35</v>
      </c>
    </row>
    <row r="43" spans="1:7" ht="12.75">
      <c r="A43" t="s">
        <v>13</v>
      </c>
      <c r="B43" s="17">
        <v>0.75</v>
      </c>
      <c r="C43" s="17">
        <v>0.86</v>
      </c>
      <c r="D43" s="17">
        <v>0.86</v>
      </c>
      <c r="E43" s="17">
        <v>0.86</v>
      </c>
      <c r="F43" s="17">
        <v>0.86</v>
      </c>
      <c r="G43" s="17">
        <v>0.75</v>
      </c>
    </row>
    <row r="44" spans="1:8" ht="12.75">
      <c r="A44" t="s">
        <v>65</v>
      </c>
      <c r="B44" s="17">
        <v>0.89</v>
      </c>
      <c r="C44" s="17">
        <v>0.89</v>
      </c>
      <c r="D44" s="17">
        <v>0.88</v>
      </c>
      <c r="E44" s="17">
        <v>0.87</v>
      </c>
      <c r="F44" s="17">
        <v>0.88</v>
      </c>
      <c r="G44" s="17">
        <v>0.9</v>
      </c>
      <c r="H44" s="17" t="s">
        <v>72</v>
      </c>
    </row>
    <row r="45" spans="1:7" ht="12.75">
      <c r="A45" t="s">
        <v>14</v>
      </c>
      <c r="B45">
        <v>1</v>
      </c>
      <c r="C45">
        <v>1</v>
      </c>
      <c r="D45">
        <v>1</v>
      </c>
      <c r="E45">
        <v>1</v>
      </c>
      <c r="F45">
        <v>1</v>
      </c>
      <c r="G45" s="17">
        <v>1</v>
      </c>
    </row>
    <row r="46" spans="1:7" ht="12.75">
      <c r="A46" t="s">
        <v>15</v>
      </c>
      <c r="B46">
        <v>0.7</v>
      </c>
      <c r="C46">
        <v>0.8</v>
      </c>
      <c r="D46">
        <v>0.9</v>
      </c>
      <c r="E46">
        <v>0.9</v>
      </c>
      <c r="F46">
        <v>0.9</v>
      </c>
      <c r="G46">
        <v>0.95</v>
      </c>
    </row>
    <row r="47" spans="1:8" s="2" customFormat="1" ht="12.75">
      <c r="A47" s="2" t="s">
        <v>25</v>
      </c>
      <c r="B47" s="13">
        <f aca="true" t="shared" si="9" ref="B47:G47">B41*B42*B43*B44*B45*B46</f>
        <v>0.11097187499999998</v>
      </c>
      <c r="C47" s="13">
        <f t="shared" si="9"/>
        <v>0.32514192000000003</v>
      </c>
      <c r="D47" s="13">
        <f t="shared" si="9"/>
        <v>0.45975600000000005</v>
      </c>
      <c r="E47" s="13">
        <f t="shared" si="9"/>
        <v>0.5151357000000001</v>
      </c>
      <c r="F47" s="13">
        <f t="shared" si="9"/>
        <v>0.5210568</v>
      </c>
      <c r="G47" s="13">
        <f t="shared" si="9"/>
        <v>0.2885625</v>
      </c>
      <c r="H47" s="2" t="s">
        <v>85</v>
      </c>
    </row>
    <row r="49" spans="1:8" s="4" customFormat="1" ht="12.75">
      <c r="A49" s="4" t="s">
        <v>30</v>
      </c>
      <c r="B49" s="5">
        <f aca="true" t="shared" si="10" ref="B49:G49">B39*B47</f>
        <v>157998070064.62408</v>
      </c>
      <c r="C49" s="5">
        <f t="shared" si="10"/>
        <v>1099584446330.866</v>
      </c>
      <c r="D49" s="5">
        <f t="shared" si="10"/>
        <v>1092643460277.3693</v>
      </c>
      <c r="E49" s="5">
        <f t="shared" si="10"/>
        <v>1047470027157.6681</v>
      </c>
      <c r="F49" s="5">
        <f t="shared" si="10"/>
        <v>888315767004.9823</v>
      </c>
      <c r="G49" s="5">
        <f t="shared" si="10"/>
        <v>154250539849.54648</v>
      </c>
      <c r="H49" s="4" t="s">
        <v>23</v>
      </c>
    </row>
    <row r="50" spans="1:8" ht="12.75">
      <c r="A50" t="s">
        <v>31</v>
      </c>
      <c r="B50" s="8">
        <f aca="true" t="shared" si="11" ref="B50:G50">B49*(10^(20/-2.5))</f>
        <v>1579.9807006462408</v>
      </c>
      <c r="C50" s="8">
        <f t="shared" si="11"/>
        <v>10995.84446330866</v>
      </c>
      <c r="D50" s="8">
        <f t="shared" si="11"/>
        <v>10926.434602773692</v>
      </c>
      <c r="E50" s="8">
        <f t="shared" si="11"/>
        <v>10474.700271576681</v>
      </c>
      <c r="F50" s="8">
        <f t="shared" si="11"/>
        <v>8883.157670049823</v>
      </c>
      <c r="G50" s="8">
        <f t="shared" si="11"/>
        <v>1542.5053984954648</v>
      </c>
      <c r="H50" t="s">
        <v>23</v>
      </c>
    </row>
    <row r="51" spans="1:8" ht="12.75">
      <c r="A51" t="s">
        <v>57</v>
      </c>
      <c r="B51" s="8">
        <f aca="true" t="shared" si="12" ref="B51:G51">B49*(10^(+$A$60/-2.5))</f>
        <v>629.0016462634061</v>
      </c>
      <c r="C51" s="8">
        <f t="shared" si="12"/>
        <v>4377.524527134143</v>
      </c>
      <c r="D51" s="8">
        <f t="shared" si="12"/>
        <v>4349.891963948054</v>
      </c>
      <c r="E51" s="8">
        <f t="shared" si="12"/>
        <v>4170.053287513335</v>
      </c>
      <c r="F51" s="8">
        <f t="shared" si="12"/>
        <v>3536.448765604127</v>
      </c>
      <c r="G51" s="8">
        <f t="shared" si="12"/>
        <v>614.0824597585233</v>
      </c>
      <c r="H51" t="s">
        <v>23</v>
      </c>
    </row>
    <row r="52" spans="1:8" ht="12.75">
      <c r="A52" t="s">
        <v>33</v>
      </c>
      <c r="B52" s="6">
        <f>0.2+(C52)*((C28/B28)^0.2)</f>
        <v>1.3123102179512818</v>
      </c>
      <c r="C52" s="6">
        <f>(D52)*((D28/C28)^0.2)</f>
        <v>1.0616177803919882</v>
      </c>
      <c r="D52" s="6">
        <v>1</v>
      </c>
      <c r="E52" s="6">
        <f>D52*((D28/E28)^0.2)</f>
        <v>0.9618687602988247</v>
      </c>
      <c r="F52" s="6">
        <f>E52*((E28/F28)^0.2)</f>
        <v>0.9290496099987865</v>
      </c>
      <c r="G52" s="6">
        <f>F52*((F28/G28)^0.2)</f>
        <v>0.9150979114912541</v>
      </c>
      <c r="H52" t="s">
        <v>37</v>
      </c>
    </row>
    <row r="53" spans="1:8" ht="12.75">
      <c r="A53" s="17" t="s">
        <v>67</v>
      </c>
      <c r="B53" s="6">
        <f aca="true" t="shared" si="13" ref="B53:G53">3.14159*((2.04*B52)/2)^2</f>
        <v>5.62889140446383</v>
      </c>
      <c r="C53" s="6">
        <f t="shared" si="13"/>
        <v>3.6837166469125013</v>
      </c>
      <c r="D53" s="6">
        <f t="shared" si="13"/>
        <v>3.268510236</v>
      </c>
      <c r="E53" s="6">
        <f t="shared" si="13"/>
        <v>3.0239979273591278</v>
      </c>
      <c r="F53" s="6">
        <f t="shared" si="13"/>
        <v>2.821159626797644</v>
      </c>
      <c r="G53" s="6">
        <f t="shared" si="13"/>
        <v>2.737064158891033</v>
      </c>
      <c r="H53" s="17" t="s">
        <v>68</v>
      </c>
    </row>
    <row r="54" spans="1:8" ht="12.75">
      <c r="A54" t="s">
        <v>32</v>
      </c>
      <c r="B54" s="1">
        <f aca="true" t="shared" si="14" ref="B54:G54">(10^(B25/-2.5))*B53*B49</f>
        <v>674.6439843596347</v>
      </c>
      <c r="C54" s="1">
        <f t="shared" si="14"/>
        <v>6130.766911417143</v>
      </c>
      <c r="D54" s="1">
        <f t="shared" si="14"/>
        <v>13577.766011749694</v>
      </c>
      <c r="E54" s="1">
        <f t="shared" si="14"/>
        <v>28888.373724505356</v>
      </c>
      <c r="F54" s="1">
        <f t="shared" si="14"/>
        <v>82984.12722269051</v>
      </c>
      <c r="G54" s="1">
        <f t="shared" si="14"/>
        <v>26638.61679260412</v>
      </c>
      <c r="H54" t="s">
        <v>23</v>
      </c>
    </row>
    <row r="55" spans="1:8" ht="12.75">
      <c r="A55" t="s">
        <v>59</v>
      </c>
      <c r="B55" s="22">
        <v>7</v>
      </c>
      <c r="C55" s="22">
        <v>7</v>
      </c>
      <c r="D55" s="22">
        <v>7</v>
      </c>
      <c r="E55" s="22">
        <v>7</v>
      </c>
      <c r="F55" s="22">
        <v>7</v>
      </c>
      <c r="G55" s="22">
        <v>7</v>
      </c>
      <c r="H55" t="s">
        <v>23</v>
      </c>
    </row>
    <row r="56" spans="1:8" ht="12.75">
      <c r="A56" t="s">
        <v>88</v>
      </c>
      <c r="B56" s="22">
        <f>+B55^2*(+B53/(0.264^2))</f>
        <v>3957.410451370633</v>
      </c>
      <c r="C56" s="22">
        <f>+C55^2*(+C53/(0.264^2))</f>
        <v>2589.8489970545306</v>
      </c>
      <c r="D56" s="22">
        <f>+D55^2*(+D53/(0.264^2))</f>
        <v>2297.936776342975</v>
      </c>
      <c r="E56" s="22">
        <f>+E55^2*(+E53/(0.264^2))</f>
        <v>2126.0316006743174</v>
      </c>
      <c r="F56" s="22">
        <f>+F55^2*(+F53/(0.264^2))</f>
        <v>1983.4254722377832</v>
      </c>
      <c r="G56" s="22">
        <f>+G55^2*(+G53/(0.264^2))</f>
        <v>1924.301879385626</v>
      </c>
      <c r="H56" t="s">
        <v>23</v>
      </c>
    </row>
    <row r="57" spans="1:8" ht="12.75">
      <c r="A57" t="s">
        <v>60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t="s">
        <v>61</v>
      </c>
    </row>
    <row r="58" spans="2:7" ht="12.75">
      <c r="B58" s="1"/>
      <c r="C58" s="1"/>
      <c r="D58" s="1"/>
      <c r="E58" s="1"/>
      <c r="F58" s="1"/>
      <c r="G58" s="1"/>
    </row>
    <row r="59" spans="1:7" ht="12.75">
      <c r="A59" s="7" t="s">
        <v>1</v>
      </c>
      <c r="B59" s="29" t="s">
        <v>86</v>
      </c>
      <c r="C59" s="29"/>
      <c r="D59" s="29"/>
      <c r="E59" s="29"/>
      <c r="F59" s="29"/>
      <c r="G59" s="29"/>
    </row>
    <row r="60" spans="1:7" ht="18">
      <c r="A60" s="12">
        <v>21</v>
      </c>
      <c r="B60" s="14">
        <f aca="true" t="shared" si="15" ref="B60:G60">(B51)/(B51+B54+B57*B56)^0.5</f>
        <v>8.67192107179526</v>
      </c>
      <c r="C60" s="14">
        <f t="shared" si="15"/>
        <v>38.24932424535315</v>
      </c>
      <c r="D60" s="14">
        <f t="shared" si="15"/>
        <v>30.586361707259787</v>
      </c>
      <c r="E60" s="14">
        <f t="shared" si="15"/>
        <v>22.231367005036816</v>
      </c>
      <c r="F60" s="14">
        <f t="shared" si="15"/>
        <v>11.887373744414969</v>
      </c>
      <c r="G60" s="14">
        <f t="shared" si="15"/>
        <v>3.595061850779614</v>
      </c>
    </row>
    <row r="61" ht="12.75">
      <c r="A61" t="s">
        <v>58</v>
      </c>
    </row>
    <row r="65" spans="2:7" ht="12.75">
      <c r="B65" s="7" t="s">
        <v>53</v>
      </c>
      <c r="C65" s="7"/>
      <c r="D65" s="7"/>
      <c r="E65" s="7"/>
      <c r="F65" s="7"/>
      <c r="G65" s="7"/>
    </row>
    <row r="68" spans="1:7" ht="12.75">
      <c r="A68" s="19" t="s">
        <v>51</v>
      </c>
      <c r="B68" s="21" t="s">
        <v>43</v>
      </c>
      <c r="C68" s="21" t="s">
        <v>44</v>
      </c>
      <c r="D68" s="21" t="s">
        <v>45</v>
      </c>
      <c r="E68" s="21" t="s">
        <v>46</v>
      </c>
      <c r="F68" s="21" t="s">
        <v>47</v>
      </c>
      <c r="G68" s="21" t="s">
        <v>48</v>
      </c>
    </row>
    <row r="69" spans="1:7" ht="12.75">
      <c r="A69" s="19">
        <v>0</v>
      </c>
      <c r="B69" s="20">
        <v>22.8</v>
      </c>
      <c r="C69" s="20">
        <v>22.05</v>
      </c>
      <c r="D69" s="20">
        <v>21.05</v>
      </c>
      <c r="E69" s="20">
        <v>20.1</v>
      </c>
      <c r="F69" s="20">
        <v>18.7</v>
      </c>
      <c r="G69" s="20">
        <v>18</v>
      </c>
    </row>
    <row r="70" spans="1:7" ht="12.75">
      <c r="A70" s="19">
        <v>3</v>
      </c>
      <c r="B70" s="20">
        <v>22.3</v>
      </c>
      <c r="C70" s="20">
        <v>21.8</v>
      </c>
      <c r="D70" s="20">
        <v>20.9</v>
      </c>
      <c r="E70" s="20">
        <v>20.1</v>
      </c>
      <c r="F70" s="20">
        <v>18.7</v>
      </c>
      <c r="G70" s="20">
        <v>18</v>
      </c>
    </row>
    <row r="71" spans="1:7" ht="12.75">
      <c r="A71" s="19">
        <v>7</v>
      </c>
      <c r="B71" s="20">
        <v>20.7</v>
      </c>
      <c r="C71" s="20">
        <v>21.2</v>
      </c>
      <c r="D71" s="20">
        <v>20.6</v>
      </c>
      <c r="E71" s="20">
        <v>19.9</v>
      </c>
      <c r="F71" s="20">
        <v>18.6</v>
      </c>
      <c r="G71" s="20">
        <v>18</v>
      </c>
    </row>
    <row r="72" spans="1:7" ht="12.75">
      <c r="A72" s="19">
        <v>10</v>
      </c>
      <c r="B72" s="20">
        <v>19.2</v>
      </c>
      <c r="C72" s="20">
        <v>20.4</v>
      </c>
      <c r="D72" s="20">
        <v>20.2</v>
      </c>
      <c r="E72" s="20">
        <v>19.7</v>
      </c>
      <c r="F72" s="20">
        <v>18.5</v>
      </c>
      <c r="G72" s="20">
        <v>17.9</v>
      </c>
    </row>
    <row r="73" spans="1:7" ht="12.75">
      <c r="A73" s="19">
        <v>14</v>
      </c>
      <c r="B73" s="20">
        <v>17.7</v>
      </c>
      <c r="C73" s="20">
        <v>19.4</v>
      </c>
      <c r="D73" s="20">
        <v>19.7</v>
      </c>
      <c r="E73" s="20">
        <v>19.4</v>
      </c>
      <c r="F73" s="20">
        <v>18.2</v>
      </c>
      <c r="G73" s="20">
        <v>17.7</v>
      </c>
    </row>
    <row r="75" ht="12.75">
      <c r="B75" t="s">
        <v>54</v>
      </c>
    </row>
  </sheetData>
  <sheetProtection/>
  <mergeCells count="4">
    <mergeCell ref="A1:G3"/>
    <mergeCell ref="B59:G59"/>
    <mergeCell ref="A17:G17"/>
    <mergeCell ref="A19:G1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DePoy</dc:creator>
  <cp:keywords/>
  <dc:description/>
  <cp:lastModifiedBy>Alistair Walker</cp:lastModifiedBy>
  <dcterms:created xsi:type="dcterms:W3CDTF">2007-12-06T17:34:06Z</dcterms:created>
  <dcterms:modified xsi:type="dcterms:W3CDTF">2016-03-09T01:54:42Z</dcterms:modified>
  <cp:category/>
  <cp:version/>
  <cp:contentType/>
  <cp:contentStatus/>
</cp:coreProperties>
</file>